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4" activeTab="4"/>
  </bookViews>
  <sheets>
    <sheet name="预估" sheetId="2" state="hidden" r:id="rId1"/>
    <sheet name="预估 (2)" sheetId="5" state="hidden" r:id="rId2"/>
    <sheet name="附表1" sheetId="3" state="hidden" r:id="rId3"/>
    <sheet name="深价规 2009 1号" sheetId="4" state="hidden" r:id="rId4"/>
    <sheet name="Sheet1" sheetId="6" r:id="rId5"/>
  </sheets>
  <definedNames>
    <definedName name="_xlnm.Print_Area" localSheetId="0">预估!$A$1:$Z$22</definedName>
    <definedName name="_xlnm.Print_Area" localSheetId="1">'预估 (2)'!$A$1:$Z$22</definedName>
  </definedNames>
  <calcPr calcId="144525"/>
</workbook>
</file>

<file path=xl/sharedStrings.xml><?xml version="1.0" encoding="utf-8"?>
<sst xmlns="http://schemas.openxmlformats.org/spreadsheetml/2006/main" count="231" uniqueCount="135">
  <si>
    <t>大运枢纽开发项目管线改迁及场地平整工程估算</t>
  </si>
  <si>
    <t>序号</t>
  </si>
  <si>
    <t>项目名称</t>
  </si>
  <si>
    <t>估算（万元）</t>
  </si>
  <si>
    <t>计算式</t>
  </si>
  <si>
    <t>备注</t>
  </si>
  <si>
    <t>高压电缆改迁、变压器、高压柜迁移</t>
  </si>
  <si>
    <t>见附表1</t>
  </si>
  <si>
    <t>给排水、燃气等各专业管线改迁</t>
  </si>
  <si>
    <t>50+150</t>
  </si>
  <si>
    <t>苗木迁移</t>
  </si>
  <si>
    <t>150*1000</t>
  </si>
  <si>
    <t>根据现场情况</t>
  </si>
  <si>
    <t>新建围挡</t>
  </si>
  <si>
    <t>(250+90+220+80)*2*1800</t>
  </si>
  <si>
    <t>旧围挡拆除</t>
  </si>
  <si>
    <t>(250+90+220+80)*2*100</t>
  </si>
  <si>
    <t>拆除现有围挡</t>
  </si>
  <si>
    <t>土石方外运</t>
  </si>
  <si>
    <t>3*200</t>
  </si>
  <si>
    <t>红线内场地拆除残留、红线内厂房基础清理</t>
  </si>
  <si>
    <t>市政道路临时开口2个</t>
  </si>
  <si>
    <t>场内道路及硬化</t>
  </si>
  <si>
    <t>250*90*100+250*4*350</t>
  </si>
  <si>
    <t>保险</t>
  </si>
  <si>
    <t>预估</t>
  </si>
  <si>
    <t>其他（暂列金）</t>
  </si>
  <si>
    <t>（1+9）*10%</t>
  </si>
  <si>
    <t>不含暂列金合计</t>
  </si>
  <si>
    <t>合计（含暂列金）</t>
  </si>
  <si>
    <t>大运枢纽开发项目管线改迁及场地平整工程监理估算</t>
  </si>
  <si>
    <t>备注2</t>
  </si>
  <si>
    <t>监理费用</t>
  </si>
  <si>
    <t>30.1+(1607.8-1000)/(3000-1000)*(78.1-30.1)</t>
  </si>
  <si>
    <t>参考深价规[2009]1号文件</t>
  </si>
  <si>
    <t xml:space="preserve">工程施工阶段：大运枢纽物业开发项目管线改迁及场地平整工程施工预估金额（不含暂列金）为1607.8万元，参考深价规[2009]1号文件，专业调整系数、工程复杂调整系数、高程调整系数均取1，工程监理费用采用插值法计算：30.1+(1607.8-1000)/(3000-1000)*(78.1-30.1)=45万元。
</t>
  </si>
  <si>
    <t>监理前期配合</t>
  </si>
  <si>
    <t>2*800*62</t>
  </si>
  <si>
    <t>7月15日-9月15日（两人）</t>
  </si>
  <si>
    <t>前期配合阶段预估：2（人）*800（元/天）*62天（7月16-9月15日）=10万元</t>
  </si>
  <si>
    <t>合计</t>
  </si>
  <si>
    <t>高压电缆改迁、变压器、高压柜迁移预估</t>
  </si>
  <si>
    <t>工程名称:高压电缆改迁、变压器、高压柜迁移</t>
  </si>
  <si>
    <t>项目特征描述</t>
  </si>
  <si>
    <t>计量
单位</t>
  </si>
  <si>
    <t>工程量</t>
  </si>
  <si>
    <t>金额(元)</t>
  </si>
  <si>
    <t>综合单价</t>
  </si>
  <si>
    <t>合价</t>
  </si>
  <si>
    <t>材料设备
暂估合价</t>
  </si>
  <si>
    <t xml:space="preserve">  10KV高压电缆部分</t>
  </si>
  <si>
    <t>1</t>
  </si>
  <si>
    <t>电缆</t>
  </si>
  <si>
    <t>(1)高压电力电缆
(2)规格:ZRC-YJV22-8.7/15kV-3x300mm</t>
  </si>
  <si>
    <t>m</t>
  </si>
  <si>
    <t>总监理工程师</t>
  </si>
  <si>
    <t>2</t>
  </si>
  <si>
    <t>电缆终端头</t>
  </si>
  <si>
    <t>(1)冷缩式电缆终端头
(2)规格:3x300mm</t>
  </si>
  <si>
    <t>个</t>
  </si>
  <si>
    <t>专业监理工程师</t>
  </si>
  <si>
    <t>3</t>
  </si>
  <si>
    <t>电缆中间头</t>
  </si>
  <si>
    <t>(1)冷缩式电缆中间头
(2)规格:3*300mm</t>
  </si>
  <si>
    <t>安全工程师</t>
  </si>
  <si>
    <t>4</t>
  </si>
  <si>
    <t>电缆保护管</t>
  </si>
  <si>
    <t>(1)材质:涂塑钢管
(2)规格:150 壁厚4.5mm</t>
  </si>
  <si>
    <t>项目助理</t>
  </si>
  <si>
    <t>5</t>
  </si>
  <si>
    <t>(1)材质:PE管
(2)规格:150 壁厚4.5mm</t>
  </si>
  <si>
    <t>资料员</t>
  </si>
  <si>
    <t>6</t>
  </si>
  <si>
    <t>管枕</t>
  </si>
  <si>
    <t>(1)管枕</t>
  </si>
  <si>
    <t>管理费</t>
  </si>
  <si>
    <t>7</t>
  </si>
  <si>
    <t>标志桩</t>
  </si>
  <si>
    <t>(1)标志桩</t>
  </si>
  <si>
    <t>块</t>
  </si>
  <si>
    <t>利润</t>
  </si>
  <si>
    <t>8</t>
  </si>
  <si>
    <t>户外开关箱</t>
  </si>
  <si>
    <t>(1)10kV共箱式带开关电缆分接箱，KKKK+PT
(2)规格:半周长1.5m</t>
  </si>
  <si>
    <t>台</t>
  </si>
  <si>
    <t>税金</t>
  </si>
  <si>
    <t>9</t>
  </si>
  <si>
    <t>环网柜基础</t>
  </si>
  <si>
    <t>(1)七单元环网柜
(2)环网柜基础
(3)内侧墙面抹水泥砂桨
(4)铁件预埋，含基础槽钢制安
(5)详设计图纸</t>
  </si>
  <si>
    <t>座</t>
  </si>
  <si>
    <t>10</t>
  </si>
  <si>
    <t>隔离护栏</t>
  </si>
  <si>
    <t>(1)七单元环网柜围栏
(2)详设计图纸</t>
  </si>
  <si>
    <t>t</t>
  </si>
  <si>
    <t>11</t>
  </si>
  <si>
    <t>接地装置调试</t>
  </si>
  <si>
    <t>(1)设备接地装置</t>
  </si>
  <si>
    <t>系统</t>
  </si>
  <si>
    <t>12</t>
  </si>
  <si>
    <t>(1)名称:电缆中间头
(2)规格:10kV，3×300mm2
(3)配置:含防爆保护壳，震荡波试验
(4)其他:满足招标文件及图纸要求</t>
  </si>
  <si>
    <t>13</t>
  </si>
  <si>
    <t>卫星全球定位系统天线(GPS)</t>
  </si>
  <si>
    <t>(1)名称:卫星全球定位GPS测点
(2)其他:满足招标文件及图纸要求</t>
  </si>
  <si>
    <t>点</t>
  </si>
  <si>
    <t>前期</t>
  </si>
  <si>
    <t>14</t>
  </si>
  <si>
    <t>供电系统调试</t>
  </si>
  <si>
    <t>(1)交流供电系统调试电压(10KV)</t>
  </si>
  <si>
    <t>15</t>
  </si>
  <si>
    <t>措施费</t>
  </si>
  <si>
    <t>项</t>
  </si>
  <si>
    <t>16</t>
  </si>
  <si>
    <t>规费</t>
  </si>
  <si>
    <t>17</t>
  </si>
  <si>
    <t>本页小计</t>
  </si>
  <si>
    <t>施工阶段工程总监理酬金估算表</t>
  </si>
  <si>
    <t>人员</t>
  </si>
  <si>
    <t>数量</t>
  </si>
  <si>
    <t>单价（元/人*月）</t>
  </si>
  <si>
    <t>人员按照项目需求计划</t>
  </si>
  <si>
    <t>监理员</t>
  </si>
  <si>
    <t>税率</t>
  </si>
  <si>
    <t>施工监理总酬金（小计）</t>
  </si>
  <si>
    <t>1-8项之和</t>
  </si>
  <si>
    <t>前期阶段监理总酬金估算表</t>
  </si>
  <si>
    <t>前期监理总酬金（小计）</t>
  </si>
  <si>
    <t>1-6项之和</t>
  </si>
  <si>
    <t>监理总酬金合计（前期阶段+施工阶段）</t>
  </si>
  <si>
    <t>报价名称</t>
  </si>
  <si>
    <t>单位</t>
  </si>
  <si>
    <t>报价金额（元）</t>
  </si>
  <si>
    <t>前期阶段总监理酬金</t>
  </si>
  <si>
    <t>元</t>
  </si>
  <si>
    <t>施工阶段工程总监理酬金</t>
  </si>
  <si>
    <t>前期阶段+施工阶段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</si>
</sst>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176" formatCode="0.000"/>
    <numFmt numFmtId="177" formatCode="0.0_ "/>
    <numFmt numFmtId="178" formatCode="0_ "/>
    <numFmt numFmtId="179" formatCode="0_);[Red]\(0\)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9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25" borderId="21" applyNumberFormat="0" applyAlignment="0" applyProtection="0">
      <alignment vertical="center"/>
    </xf>
    <xf numFmtId="0" fontId="25" fillId="25" borderId="17" applyNumberFormat="0" applyAlignment="0" applyProtection="0">
      <alignment vertical="center"/>
    </xf>
    <xf numFmtId="0" fontId="27" fillId="27" borderId="22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85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 indent="1"/>
    </xf>
    <xf numFmtId="0" fontId="0" fillId="0" borderId="7" xfId="0" applyFont="1" applyFill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right" wrapText="1"/>
    </xf>
    <xf numFmtId="0" fontId="6" fillId="2" borderId="8" xfId="0" applyNumberFormat="1" applyFont="1" applyFill="1" applyBorder="1" applyAlignment="1" applyProtection="1">
      <alignment horizontal="center" vertical="center"/>
    </xf>
    <xf numFmtId="0" fontId="6" fillId="2" borderId="9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/>
    </xf>
    <xf numFmtId="0" fontId="6" fillId="2" borderId="10" xfId="0" applyNumberFormat="1" applyFont="1" applyFill="1" applyBorder="1" applyAlignment="1" applyProtection="1">
      <alignment horizontal="center" vertical="center"/>
    </xf>
    <xf numFmtId="0" fontId="6" fillId="2" borderId="11" xfId="0" applyNumberFormat="1" applyFont="1" applyFill="1" applyBorder="1" applyAlignment="1" applyProtection="1">
      <alignment horizontal="center" vertical="center"/>
    </xf>
    <xf numFmtId="0" fontId="6" fillId="2" borderId="12" xfId="0" applyNumberFormat="1" applyFont="1" applyFill="1" applyBorder="1" applyAlignment="1" applyProtection="1">
      <alignment horizontal="center" vertical="center"/>
    </xf>
    <xf numFmtId="0" fontId="6" fillId="2" borderId="13" xfId="0" applyNumberFormat="1" applyFont="1" applyFill="1" applyBorder="1" applyAlignment="1" applyProtection="1">
      <alignment horizontal="center" vertical="center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8" fillId="2" borderId="14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23" fontId="8" fillId="2" borderId="4" xfId="0" applyNumberFormat="1" applyFont="1" applyFill="1" applyBorder="1" applyAlignment="1" applyProtection="1">
      <alignment horizontal="center" vertical="center"/>
    </xf>
    <xf numFmtId="23" fontId="8" fillId="2" borderId="1" xfId="0" applyNumberFormat="1" applyFont="1" applyFill="1" applyBorder="1" applyAlignment="1" applyProtection="1">
      <alignment horizontal="left" vertical="center" wrapText="1"/>
    </xf>
    <xf numFmtId="23" fontId="8" fillId="2" borderId="3" xfId="0" applyNumberFormat="1" applyFont="1" applyFill="1" applyBorder="1" applyAlignment="1" applyProtection="1">
      <alignment horizontal="left" vertical="center" wrapText="1"/>
    </xf>
    <xf numFmtId="23" fontId="8" fillId="2" borderId="4" xfId="0" applyNumberFormat="1" applyFont="1" applyFill="1" applyBorder="1" applyAlignment="1" applyProtection="1">
      <alignment horizontal="center" vertical="center" wrapText="1"/>
    </xf>
    <xf numFmtId="176" fontId="8" fillId="2" borderId="4" xfId="0" applyNumberFormat="1" applyFont="1" applyFill="1" applyBorder="1" applyAlignment="1" applyProtection="1">
      <alignment horizontal="right" vertical="center" shrinkToFit="1"/>
    </xf>
    <xf numFmtId="2" fontId="8" fillId="2" borderId="4" xfId="0" applyNumberFormat="1" applyFont="1" applyFill="1" applyBorder="1" applyAlignment="1" applyProtection="1">
      <alignment horizontal="right" vertical="center" shrinkToFit="1"/>
    </xf>
    <xf numFmtId="49" fontId="8" fillId="2" borderId="4" xfId="0" applyNumberFormat="1" applyFont="1" applyFill="1" applyBorder="1" applyAlignment="1" applyProtection="1">
      <alignment horizontal="center" vertical="center"/>
    </xf>
    <xf numFmtId="23" fontId="8" fillId="2" borderId="4" xfId="0" applyNumberFormat="1" applyFont="1" applyFill="1" applyBorder="1" applyAlignment="1" applyProtection="1">
      <alignment horizontal="left" vertical="center" wrapText="1"/>
    </xf>
    <xf numFmtId="1" fontId="8" fillId="2" borderId="4" xfId="0" applyNumberFormat="1" applyFont="1" applyFill="1" applyBorder="1" applyAlignment="1" applyProtection="1">
      <alignment horizontal="right" vertical="center" shrinkToFit="1"/>
    </xf>
    <xf numFmtId="23" fontId="6" fillId="0" borderId="1" xfId="0" applyNumberFormat="1" applyFont="1" applyFill="1" applyBorder="1" applyAlignment="1" applyProtection="1">
      <alignment horizontal="center" vertical="center" wrapText="1"/>
    </xf>
    <xf numFmtId="23" fontId="8" fillId="0" borderId="2" xfId="0" applyNumberFormat="1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shrinkToFit="1"/>
    </xf>
    <xf numFmtId="2" fontId="8" fillId="0" borderId="3" xfId="0" applyNumberFormat="1" applyFont="1" applyFill="1" applyBorder="1" applyAlignment="1" applyProtection="1">
      <alignment horizontal="center" vertical="center" shrinkToFit="1"/>
    </xf>
    <xf numFmtId="2" fontId="6" fillId="0" borderId="4" xfId="0" applyNumberFormat="1" applyFont="1" applyFill="1" applyBorder="1" applyAlignment="1" applyProtection="1">
      <alignment horizontal="right" vertical="center" shrinkToFit="1"/>
    </xf>
    <xf numFmtId="0" fontId="0" fillId="0" borderId="4" xfId="0" applyFont="1" applyFill="1" applyBorder="1" applyAlignment="1">
      <alignment horizontal="right" vertical="center" wrapText="1"/>
    </xf>
    <xf numFmtId="177" fontId="0" fillId="0" borderId="4" xfId="0" applyNumberFormat="1" applyFont="1" applyFill="1" applyBorder="1" applyAlignment="1">
      <alignment horizontal="right" vertical="center" wrapText="1"/>
    </xf>
    <xf numFmtId="1" fontId="0" fillId="0" borderId="4" xfId="0" applyNumberFormat="1" applyFont="1" applyFill="1" applyBorder="1" applyAlignment="1">
      <alignment horizontal="right" vertical="center" wrapText="1"/>
    </xf>
    <xf numFmtId="9" fontId="0" fillId="0" borderId="4" xfId="0" applyNumberFormat="1" applyFont="1" applyFill="1" applyBorder="1" applyAlignment="1">
      <alignment horizontal="right" vertical="center" wrapText="1"/>
    </xf>
    <xf numFmtId="10" fontId="0" fillId="0" borderId="4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178" fontId="6" fillId="0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79" fontId="9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179" fontId="9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179" fontId="10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676275</xdr:colOff>
      <xdr:row>35</xdr:row>
      <xdr:rowOff>152400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0"/>
          <a:ext cx="6162675" cy="6153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8</xdr:col>
      <xdr:colOff>571500</xdr:colOff>
      <xdr:row>80</xdr:row>
      <xdr:rowOff>19050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0" y="6172200"/>
          <a:ext cx="6057900" cy="7562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8</xdr:col>
      <xdr:colOff>485775</xdr:colOff>
      <xdr:row>114</xdr:row>
      <xdr:rowOff>38100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0" y="13716000"/>
          <a:ext cx="5972175" cy="5867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8</xdr:col>
      <xdr:colOff>676275</xdr:colOff>
      <xdr:row>127</xdr:row>
      <xdr:rowOff>38100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0" y="19545300"/>
          <a:ext cx="6162675" cy="2266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8</xdr:col>
      <xdr:colOff>438150</xdr:colOff>
      <xdr:row>152</xdr:row>
      <xdr:rowOff>161925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0" y="21774150"/>
          <a:ext cx="5924550" cy="4448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3"/>
  <sheetViews>
    <sheetView view="pageBreakPreview" zoomScaleNormal="100" topLeftCell="A7" workbookViewId="0">
      <selection activeCell="AA20" sqref="AA20"/>
    </sheetView>
  </sheetViews>
  <sheetFormatPr defaultColWidth="9" defaultRowHeight="27.75" customHeight="1"/>
  <cols>
    <col min="1" max="1" width="6.375" style="72" customWidth="1"/>
    <col min="2" max="2" width="24.75" style="73" customWidth="1"/>
    <col min="3" max="3" width="14.75" style="74" customWidth="1"/>
    <col min="4" max="4" width="23.25" style="72" customWidth="1"/>
    <col min="5" max="5" width="18.375" style="72" customWidth="1"/>
    <col min="6" max="12" width="9" style="72" hidden="1" customWidth="1"/>
    <col min="13" max="13" width="15" style="72" hidden="1" customWidth="1"/>
    <col min="14" max="16" width="9" style="72" hidden="1" customWidth="1"/>
    <col min="17" max="17" width="12.625" style="72" hidden="1" customWidth="1"/>
    <col min="18" max="24" width="9" style="72" hidden="1" customWidth="1"/>
    <col min="25" max="25" width="12.625" style="72" hidden="1" customWidth="1"/>
    <col min="26" max="26" width="9" style="72" hidden="1" customWidth="1"/>
    <col min="27" max="27" width="72.875" style="72" customWidth="1"/>
    <col min="28" max="16384" width="9" style="72"/>
  </cols>
  <sheetData>
    <row r="1" customHeight="1" spans="1:5">
      <c r="A1" s="75" t="s">
        <v>0</v>
      </c>
      <c r="B1" s="76"/>
      <c r="C1" s="76"/>
      <c r="D1" s="76"/>
      <c r="E1" s="76"/>
    </row>
    <row r="2" customHeight="1" spans="1:5">
      <c r="A2" s="77" t="s">
        <v>1</v>
      </c>
      <c r="B2" s="78" t="s">
        <v>2</v>
      </c>
      <c r="C2" s="79" t="s">
        <v>3</v>
      </c>
      <c r="D2" s="77" t="s">
        <v>4</v>
      </c>
      <c r="E2" s="77" t="s">
        <v>5</v>
      </c>
    </row>
    <row r="3" ht="30" customHeight="1" spans="1:5">
      <c r="A3" s="77">
        <v>1</v>
      </c>
      <c r="B3" s="78" t="s">
        <v>6</v>
      </c>
      <c r="C3" s="79">
        <v>200</v>
      </c>
      <c r="D3" s="77" t="s">
        <v>7</v>
      </c>
      <c r="E3" s="77"/>
    </row>
    <row r="4" customHeight="1" spans="1:5">
      <c r="A4" s="77">
        <v>2</v>
      </c>
      <c r="B4" s="78" t="s">
        <v>8</v>
      </c>
      <c r="C4" s="79">
        <v>200</v>
      </c>
      <c r="D4" s="77" t="s">
        <v>9</v>
      </c>
      <c r="E4" s="77"/>
    </row>
    <row r="5" customHeight="1" spans="1:16">
      <c r="A5" s="77">
        <v>3</v>
      </c>
      <c r="B5" s="78" t="s">
        <v>10</v>
      </c>
      <c r="C5" s="79">
        <v>15</v>
      </c>
      <c r="D5" s="77" t="s">
        <v>11</v>
      </c>
      <c r="E5" s="77" t="s">
        <v>12</v>
      </c>
      <c r="P5" s="72">
        <f>150*1000/10000</f>
        <v>15</v>
      </c>
    </row>
    <row r="6" customHeight="1" spans="1:5">
      <c r="A6" s="77">
        <v>4</v>
      </c>
      <c r="B6" s="78" t="s">
        <v>13</v>
      </c>
      <c r="C6" s="79">
        <v>230</v>
      </c>
      <c r="D6" s="77" t="s">
        <v>14</v>
      </c>
      <c r="E6" s="77"/>
    </row>
    <row r="7" customHeight="1" spans="1:17">
      <c r="A7" s="77">
        <v>5</v>
      </c>
      <c r="B7" s="78" t="s">
        <v>15</v>
      </c>
      <c r="C7" s="79">
        <v>12.8</v>
      </c>
      <c r="D7" s="77" t="s">
        <v>16</v>
      </c>
      <c r="E7" s="77" t="s">
        <v>17</v>
      </c>
      <c r="Q7" s="72">
        <f>+(250+90+220+80)*2</f>
        <v>1280</v>
      </c>
    </row>
    <row r="8" ht="54" customHeight="1" spans="1:5">
      <c r="A8" s="77">
        <v>6</v>
      </c>
      <c r="B8" s="78" t="s">
        <v>18</v>
      </c>
      <c r="C8" s="79">
        <v>600</v>
      </c>
      <c r="D8" s="77" t="s">
        <v>19</v>
      </c>
      <c r="E8" s="77" t="s">
        <v>20</v>
      </c>
    </row>
    <row r="9" customHeight="1" spans="1:5">
      <c r="A9" s="77">
        <v>7</v>
      </c>
      <c r="B9" s="78" t="s">
        <v>21</v>
      </c>
      <c r="C9" s="79">
        <v>80</v>
      </c>
      <c r="E9" s="77"/>
    </row>
    <row r="10" customHeight="1" spans="1:17">
      <c r="A10" s="77">
        <v>8</v>
      </c>
      <c r="B10" s="78" t="s">
        <v>22</v>
      </c>
      <c r="C10" s="79">
        <v>260</v>
      </c>
      <c r="D10" s="77" t="s">
        <v>23</v>
      </c>
      <c r="E10" s="77"/>
      <c r="G10" s="72">
        <f>(250*90*100+250*4*350)/10000</f>
        <v>260</v>
      </c>
      <c r="Q10" s="72">
        <f>250*90+250*4</f>
        <v>23500</v>
      </c>
    </row>
    <row r="11" customHeight="1" spans="1:17">
      <c r="A11" s="77">
        <v>9</v>
      </c>
      <c r="B11" s="78" t="s">
        <v>24</v>
      </c>
      <c r="C11" s="79">
        <v>10</v>
      </c>
      <c r="D11" s="77"/>
      <c r="E11" s="77" t="s">
        <v>25</v>
      </c>
      <c r="Q11" s="72">
        <f>+C10/Q10*10000</f>
        <v>110.63829787234</v>
      </c>
    </row>
    <row r="12" customHeight="1" spans="1:7">
      <c r="A12" s="77">
        <v>10</v>
      </c>
      <c r="B12" s="78" t="s">
        <v>26</v>
      </c>
      <c r="C12" s="79">
        <f>SUM(C3:C11)*10%</f>
        <v>160.78</v>
      </c>
      <c r="D12" s="77" t="s">
        <v>27</v>
      </c>
      <c r="E12" s="77"/>
      <c r="G12" s="72">
        <f>250*90</f>
        <v>22500</v>
      </c>
    </row>
    <row r="13" customHeight="1" spans="1:5">
      <c r="A13" s="77"/>
      <c r="B13" s="78" t="s">
        <v>28</v>
      </c>
      <c r="C13" s="79">
        <v>1607.8</v>
      </c>
      <c r="D13" s="77"/>
      <c r="E13" s="77"/>
    </row>
    <row r="14" customHeight="1" spans="1:7">
      <c r="A14" s="77"/>
      <c r="B14" s="78" t="s">
        <v>29</v>
      </c>
      <c r="C14" s="79">
        <f>SUM(C3:C12)</f>
        <v>1768.58</v>
      </c>
      <c r="D14" s="77"/>
      <c r="E14" s="77"/>
      <c r="G14" s="72">
        <f>250*90+220*80</f>
        <v>40100</v>
      </c>
    </row>
    <row r="15" customHeight="1" spans="1:5">
      <c r="A15" s="77"/>
      <c r="B15" s="78"/>
      <c r="C15" s="79"/>
      <c r="D15" s="77"/>
      <c r="E15" s="77"/>
    </row>
    <row r="16" ht="9" customHeight="1"/>
    <row r="18" customHeight="1" spans="1:15">
      <c r="A18" s="80" t="s">
        <v>30</v>
      </c>
      <c r="B18" s="81"/>
      <c r="C18" s="81"/>
      <c r="D18" s="81"/>
      <c r="E18" s="81"/>
      <c r="O18" s="72">
        <f>SUM(C3:C11)</f>
        <v>1607.8</v>
      </c>
    </row>
    <row r="19" customHeight="1" spans="1:25">
      <c r="A19" s="82" t="s">
        <v>1</v>
      </c>
      <c r="B19" s="83" t="s">
        <v>2</v>
      </c>
      <c r="C19" s="84" t="s">
        <v>3</v>
      </c>
      <c r="D19" s="82" t="s">
        <v>4</v>
      </c>
      <c r="E19" s="82" t="s">
        <v>31</v>
      </c>
      <c r="T19" s="72">
        <v>7</v>
      </c>
      <c r="U19" s="72">
        <v>16</v>
      </c>
      <c r="W19" s="72">
        <v>1607.8</v>
      </c>
      <c r="X19" s="72">
        <v>45</v>
      </c>
      <c r="Y19" s="72">
        <f>45/W19</f>
        <v>0.0279885557905212</v>
      </c>
    </row>
    <row r="20" ht="65.25" customHeight="1" spans="1:27">
      <c r="A20" s="82">
        <v>1</v>
      </c>
      <c r="B20" s="83" t="s">
        <v>32</v>
      </c>
      <c r="C20" s="84">
        <f>30.1+(1607.8-1000)/(3000-1000)*(78.1-30.1)</f>
        <v>44.6872</v>
      </c>
      <c r="D20" s="82" t="s">
        <v>33</v>
      </c>
      <c r="E20" s="82" t="s">
        <v>34</v>
      </c>
      <c r="M20" s="72">
        <f>30.1+(1607.8-1000)/(3000-1000)*(78.1-30.1)</f>
        <v>44.6872</v>
      </c>
      <c r="T20" s="72">
        <v>8</v>
      </c>
      <c r="U20" s="72">
        <v>31</v>
      </c>
      <c r="W20" s="72">
        <v>100</v>
      </c>
      <c r="AA20" s="73" t="s">
        <v>35</v>
      </c>
    </row>
    <row r="21" ht="48" customHeight="1" spans="1:27">
      <c r="A21" s="82">
        <v>2</v>
      </c>
      <c r="B21" s="83" t="s">
        <v>36</v>
      </c>
      <c r="C21" s="84">
        <f>2*800*62/10000</f>
        <v>9.92</v>
      </c>
      <c r="D21" s="82" t="s">
        <v>37</v>
      </c>
      <c r="E21" s="82" t="s">
        <v>38</v>
      </c>
      <c r="M21" s="72">
        <v>16</v>
      </c>
      <c r="Q21" s="72">
        <v>15</v>
      </c>
      <c r="T21" s="72">
        <v>9</v>
      </c>
      <c r="U21" s="72">
        <v>30</v>
      </c>
      <c r="V21" s="72">
        <f>62+107</f>
        <v>169</v>
      </c>
      <c r="AA21" s="73" t="s">
        <v>39</v>
      </c>
    </row>
    <row r="22" customHeight="1" spans="1:21">
      <c r="A22" s="82"/>
      <c r="B22" s="83" t="s">
        <v>40</v>
      </c>
      <c r="C22" s="84">
        <f>SUM(C20:C21)</f>
        <v>54.6072</v>
      </c>
      <c r="D22" s="82"/>
      <c r="E22" s="82"/>
      <c r="G22" s="72">
        <v>30.1</v>
      </c>
      <c r="H22" s="72">
        <v>2000</v>
      </c>
      <c r="I22" s="72">
        <v>48</v>
      </c>
      <c r="M22" s="72">
        <v>31</v>
      </c>
      <c r="Q22" s="72">
        <v>30</v>
      </c>
      <c r="T22" s="72">
        <v>10</v>
      </c>
      <c r="U22" s="72">
        <v>31</v>
      </c>
    </row>
    <row r="23" customHeight="1" spans="1:17">
      <c r="A23" s="82"/>
      <c r="B23" s="83"/>
      <c r="C23" s="84"/>
      <c r="D23" s="82"/>
      <c r="E23" s="82"/>
      <c r="G23" s="72">
        <f>+I23</f>
        <v>18.456</v>
      </c>
      <c r="H23" s="72">
        <v>769</v>
      </c>
      <c r="I23" s="72">
        <f>+H23/H22*I22</f>
        <v>18.456</v>
      </c>
      <c r="M23" s="72">
        <v>15</v>
      </c>
      <c r="Q23" s="72">
        <v>15</v>
      </c>
    </row>
  </sheetData>
  <mergeCells count="2">
    <mergeCell ref="A1:E1"/>
    <mergeCell ref="A18:E1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3"/>
  <sheetViews>
    <sheetView view="pageBreakPreview" zoomScaleNormal="100" workbookViewId="0">
      <selection activeCell="B25" sqref="B25"/>
    </sheetView>
  </sheetViews>
  <sheetFormatPr defaultColWidth="9" defaultRowHeight="27.75" customHeight="1"/>
  <cols>
    <col min="1" max="1" width="6.375" style="72" customWidth="1"/>
    <col min="2" max="2" width="24.75" style="73" customWidth="1"/>
    <col min="3" max="3" width="14.75" style="74" customWidth="1"/>
    <col min="4" max="4" width="23.25" style="72" customWidth="1"/>
    <col min="5" max="5" width="18.375" style="72" customWidth="1"/>
    <col min="6" max="12" width="9" style="72" hidden="1" customWidth="1"/>
    <col min="13" max="13" width="15" style="72" hidden="1" customWidth="1"/>
    <col min="14" max="16" width="9" style="72" hidden="1" customWidth="1"/>
    <col min="17" max="17" width="12.625" style="72" hidden="1" customWidth="1"/>
    <col min="18" max="24" width="9" style="72" hidden="1" customWidth="1"/>
    <col min="25" max="25" width="12.625" style="72" hidden="1" customWidth="1"/>
    <col min="26" max="26" width="9" style="72" hidden="1" customWidth="1"/>
    <col min="27" max="27" width="72.875" style="72" customWidth="1"/>
    <col min="28" max="16384" width="9" style="72"/>
  </cols>
  <sheetData>
    <row r="1" customHeight="1" spans="1:5">
      <c r="A1" s="75" t="s">
        <v>0</v>
      </c>
      <c r="B1" s="76"/>
      <c r="C1" s="76"/>
      <c r="D1" s="76"/>
      <c r="E1" s="76"/>
    </row>
    <row r="2" customHeight="1" spans="1:5">
      <c r="A2" s="77" t="s">
        <v>1</v>
      </c>
      <c r="B2" s="78" t="s">
        <v>2</v>
      </c>
      <c r="C2" s="79" t="s">
        <v>3</v>
      </c>
      <c r="D2" s="77" t="s">
        <v>4</v>
      </c>
      <c r="E2" s="77" t="s">
        <v>5</v>
      </c>
    </row>
    <row r="3" ht="30" customHeight="1" spans="1:5">
      <c r="A3" s="77">
        <v>1</v>
      </c>
      <c r="B3" s="78" t="s">
        <v>6</v>
      </c>
      <c r="C3" s="79">
        <v>200</v>
      </c>
      <c r="D3" s="77" t="s">
        <v>7</v>
      </c>
      <c r="E3" s="77"/>
    </row>
    <row r="4" customHeight="1" spans="1:5">
      <c r="A4" s="77">
        <v>2</v>
      </c>
      <c r="B4" s="78" t="s">
        <v>8</v>
      </c>
      <c r="C4" s="79">
        <v>200</v>
      </c>
      <c r="D4" s="77" t="s">
        <v>9</v>
      </c>
      <c r="E4" s="77"/>
    </row>
    <row r="5" customHeight="1" spans="1:16">
      <c r="A5" s="77">
        <v>3</v>
      </c>
      <c r="B5" s="78" t="s">
        <v>10</v>
      </c>
      <c r="C5" s="79">
        <v>15</v>
      </c>
      <c r="D5" s="77" t="s">
        <v>11</v>
      </c>
      <c r="E5" s="77" t="s">
        <v>12</v>
      </c>
      <c r="P5" s="72">
        <f>150*1000/10000</f>
        <v>15</v>
      </c>
    </row>
    <row r="6" customHeight="1" spans="1:5">
      <c r="A6" s="77">
        <v>4</v>
      </c>
      <c r="B6" s="78" t="s">
        <v>13</v>
      </c>
      <c r="C6" s="79">
        <v>230</v>
      </c>
      <c r="D6" s="77" t="s">
        <v>14</v>
      </c>
      <c r="E6" s="77"/>
    </row>
    <row r="7" customHeight="1" spans="1:17">
      <c r="A7" s="77">
        <v>5</v>
      </c>
      <c r="B7" s="78" t="s">
        <v>15</v>
      </c>
      <c r="C7" s="79">
        <v>12.8</v>
      </c>
      <c r="D7" s="77" t="s">
        <v>16</v>
      </c>
      <c r="E7" s="77" t="s">
        <v>17</v>
      </c>
      <c r="Q7" s="72">
        <f>+(250+90+220+80)*2</f>
        <v>1280</v>
      </c>
    </row>
    <row r="8" ht="54" customHeight="1" spans="1:5">
      <c r="A8" s="77">
        <v>6</v>
      </c>
      <c r="B8" s="78" t="s">
        <v>18</v>
      </c>
      <c r="C8" s="79">
        <v>600</v>
      </c>
      <c r="D8" s="77" t="s">
        <v>19</v>
      </c>
      <c r="E8" s="77" t="s">
        <v>20</v>
      </c>
    </row>
    <row r="9" customHeight="1" spans="1:5">
      <c r="A9" s="77">
        <v>7</v>
      </c>
      <c r="B9" s="78" t="s">
        <v>21</v>
      </c>
      <c r="C9" s="79">
        <v>80</v>
      </c>
      <c r="E9" s="77"/>
    </row>
    <row r="10" customHeight="1" spans="1:17">
      <c r="A10" s="77">
        <v>8</v>
      </c>
      <c r="B10" s="78" t="s">
        <v>22</v>
      </c>
      <c r="C10" s="79">
        <v>260</v>
      </c>
      <c r="D10" s="77" t="s">
        <v>23</v>
      </c>
      <c r="E10" s="77"/>
      <c r="G10" s="72">
        <f>(250*90*100+250*4*350)/10000</f>
        <v>260</v>
      </c>
      <c r="Q10" s="72">
        <f>250*90+250*4</f>
        <v>23500</v>
      </c>
    </row>
    <row r="11" customHeight="1" spans="1:17">
      <c r="A11" s="77">
        <v>9</v>
      </c>
      <c r="B11" s="78" t="s">
        <v>24</v>
      </c>
      <c r="C11" s="79">
        <v>10</v>
      </c>
      <c r="D11" s="77"/>
      <c r="E11" s="77" t="s">
        <v>25</v>
      </c>
      <c r="Q11" s="72">
        <f>+C10/Q10*10000</f>
        <v>110.63829787234</v>
      </c>
    </row>
    <row r="12" customHeight="1" spans="1:7">
      <c r="A12" s="77">
        <v>10</v>
      </c>
      <c r="B12" s="78" t="s">
        <v>26</v>
      </c>
      <c r="C12" s="79">
        <f>SUM(C3:C11)*10%</f>
        <v>160.78</v>
      </c>
      <c r="D12" s="77" t="s">
        <v>27</v>
      </c>
      <c r="E12" s="77"/>
      <c r="G12" s="72">
        <f>250*90</f>
        <v>22500</v>
      </c>
    </row>
    <row r="13" customHeight="1" spans="1:5">
      <c r="A13" s="77"/>
      <c r="B13" s="78" t="s">
        <v>28</v>
      </c>
      <c r="C13" s="79">
        <v>1607.8</v>
      </c>
      <c r="D13" s="77"/>
      <c r="E13" s="77"/>
    </row>
    <row r="14" customHeight="1" spans="1:7">
      <c r="A14" s="77"/>
      <c r="B14" s="78" t="s">
        <v>29</v>
      </c>
      <c r="C14" s="79">
        <f>SUM(C3:C12)</f>
        <v>1768.58</v>
      </c>
      <c r="D14" s="77"/>
      <c r="E14" s="77"/>
      <c r="G14" s="72">
        <f>250*90+220*80</f>
        <v>40100</v>
      </c>
    </row>
    <row r="15" customHeight="1" spans="1:5">
      <c r="A15" s="77"/>
      <c r="B15" s="78"/>
      <c r="C15" s="79"/>
      <c r="D15" s="77"/>
      <c r="E15" s="77"/>
    </row>
    <row r="16" ht="9" customHeight="1"/>
    <row r="18" customHeight="1" spans="1:15">
      <c r="A18" s="80" t="s">
        <v>30</v>
      </c>
      <c r="B18" s="81"/>
      <c r="C18" s="81"/>
      <c r="D18" s="81"/>
      <c r="E18" s="81"/>
      <c r="O18" s="72">
        <f>SUM(C3:C11)</f>
        <v>1607.8</v>
      </c>
    </row>
    <row r="19" customHeight="1" spans="1:25">
      <c r="A19" s="82" t="s">
        <v>1</v>
      </c>
      <c r="B19" s="83" t="s">
        <v>2</v>
      </c>
      <c r="C19" s="84" t="s">
        <v>3</v>
      </c>
      <c r="D19" s="82" t="s">
        <v>4</v>
      </c>
      <c r="E19" s="82" t="s">
        <v>31</v>
      </c>
      <c r="T19" s="72">
        <v>7</v>
      </c>
      <c r="U19" s="72">
        <v>16</v>
      </c>
      <c r="W19" s="72">
        <v>1607.8</v>
      </c>
      <c r="X19" s="72">
        <v>45</v>
      </c>
      <c r="Y19" s="72">
        <f>45/W19</f>
        <v>0.0279885557905212</v>
      </c>
    </row>
    <row r="20" ht="65.25" customHeight="1" spans="1:27">
      <c r="A20" s="82">
        <v>1</v>
      </c>
      <c r="B20" s="83" t="s">
        <v>32</v>
      </c>
      <c r="C20" s="84">
        <f>30.1+(1607.8-1000)/(3000-1000)*(78.1-30.1)</f>
        <v>44.6872</v>
      </c>
      <c r="D20" s="82" t="s">
        <v>33</v>
      </c>
      <c r="E20" s="82" t="s">
        <v>34</v>
      </c>
      <c r="M20" s="72">
        <f>30.1+(1607.8-1000)/(3000-1000)*(78.1-30.1)</f>
        <v>44.6872</v>
      </c>
      <c r="T20" s="72">
        <v>8</v>
      </c>
      <c r="U20" s="72">
        <v>31</v>
      </c>
      <c r="W20" s="72">
        <v>100</v>
      </c>
      <c r="AA20" s="73" t="s">
        <v>35</v>
      </c>
    </row>
    <row r="21" ht="48" customHeight="1" spans="1:27">
      <c r="A21" s="82">
        <v>2</v>
      </c>
      <c r="B21" s="83" t="s">
        <v>36</v>
      </c>
      <c r="C21" s="84">
        <f>2*800*62/10000</f>
        <v>9.92</v>
      </c>
      <c r="D21" s="82" t="s">
        <v>37</v>
      </c>
      <c r="E21" s="82" t="s">
        <v>38</v>
      </c>
      <c r="M21" s="72">
        <v>16</v>
      </c>
      <c r="Q21" s="72">
        <v>15</v>
      </c>
      <c r="T21" s="72">
        <v>9</v>
      </c>
      <c r="U21" s="72">
        <v>30</v>
      </c>
      <c r="V21" s="72">
        <f>62+107</f>
        <v>169</v>
      </c>
      <c r="AA21" s="73" t="s">
        <v>39</v>
      </c>
    </row>
    <row r="22" customHeight="1" spans="1:21">
      <c r="A22" s="82"/>
      <c r="B22" s="83" t="s">
        <v>40</v>
      </c>
      <c r="C22" s="84">
        <f>SUM(C20:C21)</f>
        <v>54.6072</v>
      </c>
      <c r="D22" s="82"/>
      <c r="E22" s="82"/>
      <c r="G22" s="72">
        <v>30.1</v>
      </c>
      <c r="H22" s="72">
        <v>2000</v>
      </c>
      <c r="I22" s="72">
        <v>48</v>
      </c>
      <c r="M22" s="72">
        <v>31</v>
      </c>
      <c r="Q22" s="72">
        <v>30</v>
      </c>
      <c r="T22" s="72">
        <v>10</v>
      </c>
      <c r="U22" s="72">
        <v>31</v>
      </c>
    </row>
    <row r="23" customHeight="1" spans="1:17">
      <c r="A23" s="82"/>
      <c r="B23" s="83"/>
      <c r="C23" s="84"/>
      <c r="D23" s="82"/>
      <c r="E23" s="82"/>
      <c r="G23" s="72">
        <f>+I23</f>
        <v>18.456</v>
      </c>
      <c r="H23" s="72">
        <v>769</v>
      </c>
      <c r="I23" s="72">
        <f>+H23/H22*I22</f>
        <v>18.456</v>
      </c>
      <c r="M23" s="72">
        <v>15</v>
      </c>
      <c r="Q23" s="72">
        <v>15</v>
      </c>
    </row>
  </sheetData>
  <mergeCells count="2">
    <mergeCell ref="A1:E1"/>
    <mergeCell ref="A18:E18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opLeftCell="C1" workbookViewId="0">
      <selection activeCell="N6" sqref="N6:N10"/>
    </sheetView>
  </sheetViews>
  <sheetFormatPr defaultColWidth="10" defaultRowHeight="13.5"/>
  <cols>
    <col min="1" max="1" width="3.875" style="30" customWidth="1"/>
    <col min="2" max="2" width="15" style="30" customWidth="1"/>
    <col min="3" max="3" width="13.375" style="30" customWidth="1"/>
    <col min="4" max="4" width="5.625" style="30" customWidth="1"/>
    <col min="5" max="7" width="7.625" style="30" customWidth="1"/>
    <col min="8" max="8" width="9.375" style="30" customWidth="1"/>
    <col min="9" max="11" width="10" style="30"/>
    <col min="12" max="12" width="18.375" style="30" customWidth="1"/>
    <col min="13" max="13" width="10" style="30"/>
    <col min="14" max="14" width="11.625" style="30" customWidth="1"/>
    <col min="15" max="15" width="10" style="30"/>
    <col min="16" max="16" width="12.625" style="30"/>
    <col min="17" max="16381" width="10" style="30"/>
  </cols>
  <sheetData>
    <row r="1" s="30" customFormat="1" ht="48.4" customHeight="1" spans="1:8">
      <c r="A1" s="31" t="s">
        <v>41</v>
      </c>
      <c r="B1" s="32"/>
      <c r="C1" s="32"/>
      <c r="D1" s="32"/>
      <c r="E1" s="32"/>
      <c r="F1" s="32"/>
      <c r="G1" s="32"/>
      <c r="H1" s="32"/>
    </row>
    <row r="2" s="30" customFormat="1" ht="33.4" customHeight="1" spans="1:8">
      <c r="A2" s="33" t="s">
        <v>42</v>
      </c>
      <c r="B2" s="34"/>
      <c r="C2" s="33"/>
      <c r="D2" s="34"/>
      <c r="E2" s="34"/>
      <c r="F2" s="34"/>
      <c r="G2" s="35"/>
      <c r="H2" s="34"/>
    </row>
    <row r="3" s="30" customFormat="1" ht="18.6" customHeight="1" spans="1:8">
      <c r="A3" s="36" t="s">
        <v>1</v>
      </c>
      <c r="B3" s="37" t="s">
        <v>2</v>
      </c>
      <c r="C3" s="38" t="s">
        <v>43</v>
      </c>
      <c r="D3" s="37" t="s">
        <v>44</v>
      </c>
      <c r="E3" s="39" t="s">
        <v>45</v>
      </c>
      <c r="F3" s="40" t="s">
        <v>46</v>
      </c>
      <c r="G3" s="41"/>
      <c r="H3" s="42"/>
    </row>
    <row r="4" s="30" customFormat="1" ht="33.4" customHeight="1" spans="1:8">
      <c r="A4" s="43"/>
      <c r="B4" s="44"/>
      <c r="C4" s="45"/>
      <c r="D4" s="44"/>
      <c r="E4" s="46"/>
      <c r="F4" s="47" t="s">
        <v>47</v>
      </c>
      <c r="G4" s="48" t="s">
        <v>48</v>
      </c>
      <c r="H4" s="49" t="s">
        <v>49</v>
      </c>
    </row>
    <row r="5" s="30" customFormat="1" ht="18.6" customHeight="1" spans="1:8">
      <c r="A5" s="50"/>
      <c r="B5" s="51" t="s">
        <v>50</v>
      </c>
      <c r="C5" s="52"/>
      <c r="D5" s="53"/>
      <c r="E5" s="54"/>
      <c r="F5" s="55"/>
      <c r="G5" s="55"/>
      <c r="H5" s="55"/>
    </row>
    <row r="6" s="30" customFormat="1" ht="55.7" customHeight="1" spans="1:16">
      <c r="A6" s="56" t="s">
        <v>51</v>
      </c>
      <c r="B6" s="57" t="s">
        <v>52</v>
      </c>
      <c r="C6" s="57" t="s">
        <v>53</v>
      </c>
      <c r="D6" s="53" t="s">
        <v>54</v>
      </c>
      <c r="E6" s="55">
        <v>1450</v>
      </c>
      <c r="F6" s="55">
        <v>1000</v>
      </c>
      <c r="G6" s="55">
        <f t="shared" ref="G6:G12" si="0">E6*F6</f>
        <v>1450000</v>
      </c>
      <c r="H6" s="55"/>
      <c r="K6" s="8">
        <v>1</v>
      </c>
      <c r="L6" s="8" t="s">
        <v>55</v>
      </c>
      <c r="M6" s="64">
        <v>1</v>
      </c>
      <c r="N6" s="64">
        <f>27000</f>
        <v>27000</v>
      </c>
      <c r="O6" s="65">
        <f>107/30</f>
        <v>3.56666666666667</v>
      </c>
      <c r="P6" s="66">
        <f>M6*N6*O6</f>
        <v>96300.0000000001</v>
      </c>
    </row>
    <row r="7" s="30" customFormat="1" ht="43.9" customHeight="1" spans="1:16">
      <c r="A7" s="56" t="s">
        <v>56</v>
      </c>
      <c r="B7" s="57" t="s">
        <v>57</v>
      </c>
      <c r="C7" s="57" t="s">
        <v>58</v>
      </c>
      <c r="D7" s="53" t="s">
        <v>59</v>
      </c>
      <c r="E7" s="58">
        <v>4</v>
      </c>
      <c r="F7" s="55">
        <v>3000</v>
      </c>
      <c r="G7" s="55">
        <f t="shared" si="0"/>
        <v>12000</v>
      </c>
      <c r="H7" s="55"/>
      <c r="K7" s="8">
        <v>2</v>
      </c>
      <c r="L7" s="8" t="s">
        <v>60</v>
      </c>
      <c r="M7" s="64">
        <v>1</v>
      </c>
      <c r="N7" s="64">
        <v>16300</v>
      </c>
      <c r="O7" s="65">
        <f>107/30</f>
        <v>3.56666666666667</v>
      </c>
      <c r="P7" s="66">
        <f>M7*N7*O7</f>
        <v>58136.6666666667</v>
      </c>
    </row>
    <row r="8" s="30" customFormat="1" ht="43.9" customHeight="1" spans="1:16">
      <c r="A8" s="56" t="s">
        <v>61</v>
      </c>
      <c r="B8" s="57" t="s">
        <v>62</v>
      </c>
      <c r="C8" s="57" t="s">
        <v>63</v>
      </c>
      <c r="D8" s="53" t="s">
        <v>59</v>
      </c>
      <c r="E8" s="58">
        <v>2</v>
      </c>
      <c r="F8" s="55">
        <v>3500</v>
      </c>
      <c r="G8" s="55">
        <f t="shared" si="0"/>
        <v>7000</v>
      </c>
      <c r="H8" s="55"/>
      <c r="K8" s="8">
        <v>3</v>
      </c>
      <c r="L8" s="8" t="s">
        <v>64</v>
      </c>
      <c r="M8" s="64">
        <v>1</v>
      </c>
      <c r="N8" s="64">
        <v>18300</v>
      </c>
      <c r="O8" s="65">
        <f>107/30</f>
        <v>3.56666666666667</v>
      </c>
      <c r="P8" s="66">
        <f>M8*N8*O8</f>
        <v>65270.0000000001</v>
      </c>
    </row>
    <row r="9" s="30" customFormat="1" ht="43.9" customHeight="1" spans="1:16">
      <c r="A9" s="56" t="s">
        <v>65</v>
      </c>
      <c r="B9" s="57" t="s">
        <v>66</v>
      </c>
      <c r="C9" s="57" t="s">
        <v>67</v>
      </c>
      <c r="D9" s="53" t="s">
        <v>54</v>
      </c>
      <c r="E9" s="55">
        <v>100</v>
      </c>
      <c r="F9" s="55">
        <v>200</v>
      </c>
      <c r="G9" s="55">
        <f t="shared" si="0"/>
        <v>20000</v>
      </c>
      <c r="H9" s="55"/>
      <c r="K9" s="8">
        <v>4</v>
      </c>
      <c r="L9" s="8" t="s">
        <v>68</v>
      </c>
      <c r="M9" s="64">
        <v>1</v>
      </c>
      <c r="N9" s="64">
        <v>9130</v>
      </c>
      <c r="O9" s="65">
        <f>107/30</f>
        <v>3.56666666666667</v>
      </c>
      <c r="P9" s="66">
        <f>M9*N9*O9</f>
        <v>32563.6666666667</v>
      </c>
    </row>
    <row r="10" s="30" customFormat="1" ht="43.9" customHeight="1" spans="1:16">
      <c r="A10" s="56" t="s">
        <v>69</v>
      </c>
      <c r="B10" s="57" t="s">
        <v>66</v>
      </c>
      <c r="C10" s="57" t="s">
        <v>70</v>
      </c>
      <c r="D10" s="53" t="s">
        <v>54</v>
      </c>
      <c r="E10" s="55">
        <v>90</v>
      </c>
      <c r="F10" s="55">
        <v>350</v>
      </c>
      <c r="G10" s="55">
        <f t="shared" si="0"/>
        <v>31500</v>
      </c>
      <c r="H10" s="55"/>
      <c r="K10" s="8">
        <v>5</v>
      </c>
      <c r="L10" s="8" t="s">
        <v>71</v>
      </c>
      <c r="M10" s="64">
        <v>1</v>
      </c>
      <c r="N10" s="64">
        <v>9130</v>
      </c>
      <c r="O10" s="65">
        <f>107/30</f>
        <v>3.56666666666667</v>
      </c>
      <c r="P10" s="66">
        <f>M10*N10*O10</f>
        <v>32563.6666666667</v>
      </c>
    </row>
    <row r="11" s="30" customFormat="1" ht="32.1" customHeight="1" spans="1:16">
      <c r="A11" s="56" t="s">
        <v>72</v>
      </c>
      <c r="B11" s="57" t="s">
        <v>73</v>
      </c>
      <c r="C11" s="57" t="s">
        <v>74</v>
      </c>
      <c r="D11" s="53" t="s">
        <v>59</v>
      </c>
      <c r="E11" s="58">
        <v>126</v>
      </c>
      <c r="F11" s="55">
        <v>50</v>
      </c>
      <c r="G11" s="55">
        <f t="shared" si="0"/>
        <v>6300</v>
      </c>
      <c r="H11" s="55"/>
      <c r="K11" s="8"/>
      <c r="L11" s="7" t="s">
        <v>75</v>
      </c>
      <c r="M11" s="67"/>
      <c r="N11" s="64"/>
      <c r="O11" s="64"/>
      <c r="P11" s="64">
        <f>ROUND(SUM(P6:P10)*0.35,0)</f>
        <v>99692</v>
      </c>
    </row>
    <row r="12" s="30" customFormat="1" ht="27" customHeight="1" spans="1:16">
      <c r="A12" s="56" t="s">
        <v>76</v>
      </c>
      <c r="B12" s="57" t="s">
        <v>77</v>
      </c>
      <c r="C12" s="57" t="s">
        <v>78</v>
      </c>
      <c r="D12" s="53" t="s">
        <v>79</v>
      </c>
      <c r="E12" s="58">
        <v>12</v>
      </c>
      <c r="F12" s="55">
        <v>150</v>
      </c>
      <c r="G12" s="55">
        <f t="shared" si="0"/>
        <v>1800</v>
      </c>
      <c r="H12" s="55"/>
      <c r="K12" s="8"/>
      <c r="L12" s="7" t="s">
        <v>80</v>
      </c>
      <c r="M12" s="68"/>
      <c r="N12" s="64"/>
      <c r="O12" s="64"/>
      <c r="P12" s="64">
        <f>ROUND(SUM(P6:P11)*10%,0)</f>
        <v>38453</v>
      </c>
    </row>
    <row r="13" s="30" customFormat="1" ht="67.7" customHeight="1" spans="1:16">
      <c r="A13" s="56" t="s">
        <v>81</v>
      </c>
      <c r="B13" s="57" t="s">
        <v>82</v>
      </c>
      <c r="C13" s="57" t="s">
        <v>83</v>
      </c>
      <c r="D13" s="53" t="s">
        <v>84</v>
      </c>
      <c r="E13" s="58">
        <v>1</v>
      </c>
      <c r="F13" s="55">
        <v>250000</v>
      </c>
      <c r="G13" s="55">
        <f t="shared" ref="G13:G19" si="1">E13*F13</f>
        <v>250000</v>
      </c>
      <c r="H13" s="55"/>
      <c r="K13" s="8"/>
      <c r="L13" s="7" t="s">
        <v>85</v>
      </c>
      <c r="M13" s="67"/>
      <c r="N13" s="64"/>
      <c r="O13" s="64"/>
      <c r="P13" s="64">
        <f>ROUND(SUM(P6:P12)*0.06,0)</f>
        <v>25379</v>
      </c>
    </row>
    <row r="14" s="30" customFormat="1" ht="91.35" customHeight="1" spans="1:16">
      <c r="A14" s="56" t="s">
        <v>86</v>
      </c>
      <c r="B14" s="57" t="s">
        <v>87</v>
      </c>
      <c r="C14" s="57" t="s">
        <v>88</v>
      </c>
      <c r="D14" s="53" t="s">
        <v>89</v>
      </c>
      <c r="E14" s="58">
        <v>1</v>
      </c>
      <c r="F14" s="55">
        <v>15000</v>
      </c>
      <c r="G14" s="55">
        <f t="shared" si="1"/>
        <v>15000</v>
      </c>
      <c r="H14" s="55"/>
      <c r="K14" s="69"/>
      <c r="L14" s="69" t="s">
        <v>40</v>
      </c>
      <c r="M14" s="70"/>
      <c r="N14" s="70"/>
      <c r="O14" s="70"/>
      <c r="P14" s="71">
        <f>SUM(P6:P13)</f>
        <v>448358</v>
      </c>
    </row>
    <row r="15" s="30" customFormat="1" ht="43.9" customHeight="1" spans="1:8">
      <c r="A15" s="56" t="s">
        <v>90</v>
      </c>
      <c r="B15" s="57" t="s">
        <v>91</v>
      </c>
      <c r="C15" s="57" t="s">
        <v>92</v>
      </c>
      <c r="D15" s="53" t="s">
        <v>93</v>
      </c>
      <c r="E15" s="54">
        <v>0.76</v>
      </c>
      <c r="F15" s="55">
        <v>15000</v>
      </c>
      <c r="G15" s="55">
        <f t="shared" si="1"/>
        <v>11400</v>
      </c>
      <c r="H15" s="55"/>
    </row>
    <row r="16" s="30" customFormat="1" ht="27" customHeight="1" spans="1:8">
      <c r="A16" s="56" t="s">
        <v>94</v>
      </c>
      <c r="B16" s="57" t="s">
        <v>95</v>
      </c>
      <c r="C16" s="57" t="s">
        <v>96</v>
      </c>
      <c r="D16" s="53" t="s">
        <v>97</v>
      </c>
      <c r="E16" s="58">
        <v>3</v>
      </c>
      <c r="F16" s="55">
        <v>500</v>
      </c>
      <c r="G16" s="55">
        <f t="shared" si="1"/>
        <v>1500</v>
      </c>
      <c r="H16" s="55"/>
    </row>
    <row r="17" s="30" customFormat="1" ht="36.95" customHeight="1" spans="1:8">
      <c r="A17" s="56" t="s">
        <v>98</v>
      </c>
      <c r="B17" s="57" t="s">
        <v>62</v>
      </c>
      <c r="C17" s="57" t="s">
        <v>99</v>
      </c>
      <c r="D17" s="53" t="s">
        <v>59</v>
      </c>
      <c r="E17" s="58">
        <v>2</v>
      </c>
      <c r="F17" s="55">
        <v>4500</v>
      </c>
      <c r="G17" s="55">
        <f t="shared" si="1"/>
        <v>9000</v>
      </c>
      <c r="H17" s="55"/>
    </row>
    <row r="18" s="30" customFormat="1" ht="31.9" customHeight="1" spans="1:11">
      <c r="A18" s="56" t="s">
        <v>100</v>
      </c>
      <c r="B18" s="57" t="s">
        <v>101</v>
      </c>
      <c r="C18" s="57" t="s">
        <v>102</v>
      </c>
      <c r="D18" s="53" t="s">
        <v>103</v>
      </c>
      <c r="E18" s="54">
        <v>8</v>
      </c>
      <c r="F18" s="55">
        <v>350</v>
      </c>
      <c r="G18" s="55">
        <f t="shared" si="1"/>
        <v>2800</v>
      </c>
      <c r="H18" s="55"/>
      <c r="K18" s="30" t="s">
        <v>104</v>
      </c>
    </row>
    <row r="19" s="30" customFormat="1" ht="47.1" customHeight="1" spans="1:16">
      <c r="A19" s="56" t="s">
        <v>105</v>
      </c>
      <c r="B19" s="57" t="s">
        <v>106</v>
      </c>
      <c r="C19" s="57" t="s">
        <v>107</v>
      </c>
      <c r="D19" s="53" t="s">
        <v>97</v>
      </c>
      <c r="E19" s="58">
        <v>1</v>
      </c>
      <c r="F19" s="55">
        <v>10000</v>
      </c>
      <c r="G19" s="55">
        <f t="shared" si="1"/>
        <v>10000</v>
      </c>
      <c r="H19" s="55"/>
      <c r="K19" s="8">
        <v>2</v>
      </c>
      <c r="L19" s="8" t="s">
        <v>60</v>
      </c>
      <c r="M19" s="64">
        <v>1</v>
      </c>
      <c r="N19" s="64">
        <v>16300</v>
      </c>
      <c r="O19" s="65">
        <v>2</v>
      </c>
      <c r="P19" s="66">
        <f>M19*N19*O19</f>
        <v>32600</v>
      </c>
    </row>
    <row r="20" s="30" customFormat="1" ht="47.1" customHeight="1" spans="1:16">
      <c r="A20" s="56" t="s">
        <v>108</v>
      </c>
      <c r="B20" s="57" t="s">
        <v>109</v>
      </c>
      <c r="C20" s="57"/>
      <c r="D20" s="53" t="s">
        <v>110</v>
      </c>
      <c r="E20" s="58">
        <v>1</v>
      </c>
      <c r="F20" s="55"/>
      <c r="G20" s="55">
        <v>54849</v>
      </c>
      <c r="H20" s="55"/>
      <c r="K20" s="8">
        <v>3</v>
      </c>
      <c r="L20" s="8" t="s">
        <v>64</v>
      </c>
      <c r="M20" s="64">
        <v>1</v>
      </c>
      <c r="N20" s="64">
        <v>16300</v>
      </c>
      <c r="O20" s="65">
        <v>2</v>
      </c>
      <c r="P20" s="66">
        <f>M20*N20*O20</f>
        <v>32600</v>
      </c>
    </row>
    <row r="21" s="30" customFormat="1" ht="47.1" customHeight="1" spans="1:16">
      <c r="A21" s="56" t="s">
        <v>111</v>
      </c>
      <c r="B21" s="57" t="s">
        <v>112</v>
      </c>
      <c r="C21" s="57"/>
      <c r="D21" s="53" t="s">
        <v>110</v>
      </c>
      <c r="E21" s="58">
        <v>1</v>
      </c>
      <c r="F21" s="55"/>
      <c r="G21" s="55">
        <v>36566</v>
      </c>
      <c r="H21" s="55"/>
      <c r="K21" s="8"/>
      <c r="L21" s="8"/>
      <c r="M21" s="64"/>
      <c r="N21" s="64"/>
      <c r="O21" s="65"/>
      <c r="P21" s="66"/>
    </row>
    <row r="22" s="30" customFormat="1" ht="47.1" customHeight="1" spans="1:16">
      <c r="A22" s="56" t="s">
        <v>113</v>
      </c>
      <c r="B22" s="57" t="s">
        <v>85</v>
      </c>
      <c r="C22" s="57"/>
      <c r="D22" s="53" t="s">
        <v>110</v>
      </c>
      <c r="E22" s="58">
        <v>1</v>
      </c>
      <c r="F22" s="55"/>
      <c r="G22" s="55">
        <v>63990.5</v>
      </c>
      <c r="H22" s="55"/>
      <c r="K22" s="8"/>
      <c r="L22" s="8"/>
      <c r="M22" s="64"/>
      <c r="N22" s="64"/>
      <c r="O22" s="65"/>
      <c r="P22" s="66"/>
    </row>
    <row r="23" s="30" customFormat="1" ht="30.95" customHeight="1" spans="1:16">
      <c r="A23" s="59" t="s">
        <v>114</v>
      </c>
      <c r="B23" s="60"/>
      <c r="C23" s="60"/>
      <c r="D23" s="60"/>
      <c r="E23" s="61"/>
      <c r="F23" s="62"/>
      <c r="G23" s="63">
        <f>SUM(G6:G22)</f>
        <v>1983705.5</v>
      </c>
      <c r="H23" s="63"/>
      <c r="K23" s="8"/>
      <c r="L23" s="8"/>
      <c r="M23" s="64"/>
      <c r="N23" s="64"/>
      <c r="O23" s="65"/>
      <c r="P23" s="66"/>
    </row>
    <row r="24" spans="11:16">
      <c r="K24" s="8"/>
      <c r="L24" s="7" t="s">
        <v>75</v>
      </c>
      <c r="M24" s="67"/>
      <c r="N24" s="64"/>
      <c r="O24" s="64"/>
      <c r="P24" s="64">
        <f>ROUND(SUM(P19:P23)*0.35,0)</f>
        <v>22820</v>
      </c>
    </row>
    <row r="25" spans="11:16">
      <c r="K25" s="8"/>
      <c r="L25" s="7" t="s">
        <v>80</v>
      </c>
      <c r="M25" s="68"/>
      <c r="N25" s="64"/>
      <c r="O25" s="64"/>
      <c r="P25" s="64">
        <f>ROUND(SUM(P19:P24)*10%,0)</f>
        <v>8802</v>
      </c>
    </row>
    <row r="26" spans="11:16">
      <c r="K26" s="8"/>
      <c r="L26" s="7" t="s">
        <v>85</v>
      </c>
      <c r="M26" s="67"/>
      <c r="N26" s="64"/>
      <c r="O26" s="64"/>
      <c r="P26" s="64">
        <f>ROUND(SUM(P19:P25)*0.06,0)</f>
        <v>5809</v>
      </c>
    </row>
    <row r="27" spans="11:16">
      <c r="K27" s="69"/>
      <c r="L27" s="69" t="s">
        <v>40</v>
      </c>
      <c r="M27" s="70"/>
      <c r="N27" s="70"/>
      <c r="O27" s="70"/>
      <c r="P27" s="71">
        <f>SUM(P19:P26)</f>
        <v>102631</v>
      </c>
    </row>
  </sheetData>
  <mergeCells count="12">
    <mergeCell ref="A1:H1"/>
    <mergeCell ref="A2:B2"/>
    <mergeCell ref="C2:F2"/>
    <mergeCell ref="G2:H2"/>
    <mergeCell ref="F3:H3"/>
    <mergeCell ref="B5:C5"/>
    <mergeCell ref="A23:F2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85" workbookViewId="0">
      <selection activeCell="O157" sqref="O157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6" workbookViewId="0">
      <selection activeCell="J19" sqref="J19"/>
    </sheetView>
  </sheetViews>
  <sheetFormatPr defaultColWidth="9" defaultRowHeight="13.5" outlineLevelCol="5"/>
  <cols>
    <col min="1" max="1" width="6.625" style="1" customWidth="1"/>
    <col min="2" max="2" width="16.125" style="1" customWidth="1"/>
    <col min="3" max="3" width="9.5" style="1" customWidth="1"/>
    <col min="4" max="4" width="16.75" style="1" customWidth="1"/>
    <col min="5" max="5" width="12.75" style="1" customWidth="1"/>
    <col min="6" max="6" width="14.125" style="1" customWidth="1"/>
    <col min="7" max="7" width="9" style="1"/>
    <col min="8" max="8" width="12.75" style="1" customWidth="1"/>
    <col min="9" max="16384" width="9" style="1"/>
  </cols>
  <sheetData>
    <row r="1" s="1" customFormat="1" ht="36" customHeight="1" spans="1:6">
      <c r="A1" s="4" t="s">
        <v>115</v>
      </c>
      <c r="B1" s="5"/>
      <c r="C1" s="5"/>
      <c r="D1" s="5"/>
      <c r="E1" s="5"/>
      <c r="F1" s="6"/>
    </row>
    <row r="2" s="2" customFormat="1" ht="30.75" customHeight="1" spans="1:6">
      <c r="A2" s="7" t="s">
        <v>1</v>
      </c>
      <c r="B2" s="7" t="s">
        <v>116</v>
      </c>
      <c r="C2" s="7" t="s">
        <v>117</v>
      </c>
      <c r="D2" s="7" t="s">
        <v>118</v>
      </c>
      <c r="E2" s="7" t="s">
        <v>48</v>
      </c>
      <c r="F2" s="7" t="s">
        <v>5</v>
      </c>
    </row>
    <row r="3" s="2" customFormat="1" ht="30.75" customHeight="1" spans="1:6">
      <c r="A3" s="8">
        <v>1</v>
      </c>
      <c r="B3" s="8" t="s">
        <v>55</v>
      </c>
      <c r="C3" s="7">
        <v>1</v>
      </c>
      <c r="D3" s="7"/>
      <c r="E3" s="9"/>
      <c r="F3" s="10" t="s">
        <v>119</v>
      </c>
    </row>
    <row r="4" s="2" customFormat="1" ht="30.75" customHeight="1" spans="1:6">
      <c r="A4" s="8">
        <v>2</v>
      </c>
      <c r="B4" s="8" t="s">
        <v>60</v>
      </c>
      <c r="C4" s="7">
        <v>1</v>
      </c>
      <c r="D4" s="7"/>
      <c r="E4" s="9"/>
      <c r="F4" s="11"/>
    </row>
    <row r="5" s="2" customFormat="1" ht="30.75" customHeight="1" spans="1:6">
      <c r="A5" s="8">
        <v>3</v>
      </c>
      <c r="B5" s="12" t="s">
        <v>64</v>
      </c>
      <c r="C5" s="7">
        <v>1</v>
      </c>
      <c r="D5" s="7"/>
      <c r="E5" s="9"/>
      <c r="F5" s="11"/>
    </row>
    <row r="6" s="2" customFormat="1" ht="30.75" customHeight="1" spans="1:6">
      <c r="A6" s="8">
        <v>4</v>
      </c>
      <c r="B6" s="8" t="s">
        <v>120</v>
      </c>
      <c r="C6" s="7">
        <v>1</v>
      </c>
      <c r="D6" s="7"/>
      <c r="E6" s="9"/>
      <c r="F6" s="11"/>
    </row>
    <row r="7" s="2" customFormat="1" ht="30.75" customHeight="1" spans="1:6">
      <c r="A7" s="8">
        <v>5</v>
      </c>
      <c r="B7" s="8" t="s">
        <v>71</v>
      </c>
      <c r="C7" s="7">
        <v>1</v>
      </c>
      <c r="D7" s="7"/>
      <c r="E7" s="9"/>
      <c r="F7" s="11"/>
    </row>
    <row r="8" s="2" customFormat="1" ht="30.75" hidden="1" customHeight="1" spans="1:6">
      <c r="A8" s="8"/>
      <c r="B8" s="8"/>
      <c r="C8" s="7"/>
      <c r="D8" s="7"/>
      <c r="E8" s="9"/>
      <c r="F8" s="13"/>
    </row>
    <row r="9" s="2" customFormat="1" ht="30.75" customHeight="1" spans="1:6">
      <c r="A9" s="8">
        <v>6</v>
      </c>
      <c r="B9" s="7" t="s">
        <v>75</v>
      </c>
      <c r="C9" s="14"/>
      <c r="D9" s="7"/>
      <c r="E9" s="9"/>
      <c r="F9" s="7"/>
    </row>
    <row r="10" s="2" customFormat="1" ht="30.75" customHeight="1" spans="1:6">
      <c r="A10" s="8">
        <v>7</v>
      </c>
      <c r="B10" s="7" t="s">
        <v>80</v>
      </c>
      <c r="C10" s="15"/>
      <c r="D10" s="7"/>
      <c r="E10" s="9"/>
      <c r="F10" s="7"/>
    </row>
    <row r="11" s="2" customFormat="1" ht="30.75" customHeight="1" spans="1:6">
      <c r="A11" s="8">
        <v>8</v>
      </c>
      <c r="B11" s="7" t="s">
        <v>121</v>
      </c>
      <c r="C11" s="14"/>
      <c r="D11" s="7"/>
      <c r="E11" s="9"/>
      <c r="F11" s="7"/>
    </row>
    <row r="12" s="2" customFormat="1" ht="30.75" customHeight="1" spans="1:6">
      <c r="A12" s="8">
        <v>9</v>
      </c>
      <c r="B12" s="16" t="s">
        <v>122</v>
      </c>
      <c r="C12" s="17"/>
      <c r="D12" s="17"/>
      <c r="E12" s="9"/>
      <c r="F12" s="7" t="s">
        <v>123</v>
      </c>
    </row>
    <row r="13" s="2" customFormat="1" ht="30.75" hidden="1" customHeight="1" spans="1:6">
      <c r="A13" s="8"/>
      <c r="B13" s="16"/>
      <c r="C13" s="17"/>
      <c r="D13" s="17"/>
      <c r="E13" s="9"/>
      <c r="F13" s="7"/>
    </row>
    <row r="14" s="2" customFormat="1" ht="30.75" hidden="1" customHeight="1" spans="1:6">
      <c r="A14" s="8"/>
      <c r="B14" s="16"/>
      <c r="C14" s="17"/>
      <c r="D14" s="17"/>
      <c r="E14" s="9"/>
      <c r="F14" s="7"/>
    </row>
    <row r="15" ht="34" customHeight="1" spans="1:6">
      <c r="A15" s="4" t="s">
        <v>124</v>
      </c>
      <c r="B15" s="5"/>
      <c r="C15" s="5"/>
      <c r="D15" s="5"/>
      <c r="E15" s="5"/>
      <c r="F15" s="6"/>
    </row>
    <row r="16" ht="26" customHeight="1" spans="1:6">
      <c r="A16" s="7" t="s">
        <v>1</v>
      </c>
      <c r="B16" s="7" t="s">
        <v>116</v>
      </c>
      <c r="C16" s="7" t="s">
        <v>117</v>
      </c>
      <c r="D16" s="7" t="s">
        <v>118</v>
      </c>
      <c r="E16" s="7" t="s">
        <v>48</v>
      </c>
      <c r="F16" s="7" t="s">
        <v>5</v>
      </c>
    </row>
    <row r="17" ht="26" customHeight="1" spans="1:6">
      <c r="A17" s="8">
        <v>1</v>
      </c>
      <c r="B17" s="8" t="s">
        <v>60</v>
      </c>
      <c r="C17" s="7">
        <v>1</v>
      </c>
      <c r="D17" s="7"/>
      <c r="E17" s="9"/>
      <c r="F17" s="11" t="s">
        <v>119</v>
      </c>
    </row>
    <row r="18" ht="26" customHeight="1" spans="1:6">
      <c r="A18" s="8">
        <v>2</v>
      </c>
      <c r="B18" s="8" t="s">
        <v>71</v>
      </c>
      <c r="C18" s="7">
        <v>1</v>
      </c>
      <c r="D18" s="7"/>
      <c r="E18" s="9"/>
      <c r="F18" s="11"/>
    </row>
    <row r="19" ht="26" customHeight="1" spans="1:6">
      <c r="A19" s="8">
        <v>3</v>
      </c>
      <c r="B19" s="8" t="s">
        <v>120</v>
      </c>
      <c r="C19" s="7">
        <v>1</v>
      </c>
      <c r="D19" s="7"/>
      <c r="E19" s="9"/>
      <c r="F19" s="13"/>
    </row>
    <row r="20" ht="26" customHeight="1" spans="1:6">
      <c r="A20" s="8">
        <v>4</v>
      </c>
      <c r="B20" s="7" t="s">
        <v>75</v>
      </c>
      <c r="C20" s="14"/>
      <c r="D20" s="7"/>
      <c r="E20" s="9"/>
      <c r="F20" s="7"/>
    </row>
    <row r="21" ht="26" customHeight="1" spans="1:6">
      <c r="A21" s="8">
        <v>5</v>
      </c>
      <c r="B21" s="7" t="s">
        <v>80</v>
      </c>
      <c r="C21" s="15"/>
      <c r="D21" s="7"/>
      <c r="E21" s="9"/>
      <c r="F21" s="7"/>
    </row>
    <row r="22" ht="26" customHeight="1" spans="1:6">
      <c r="A22" s="8">
        <v>6</v>
      </c>
      <c r="B22" s="7" t="s">
        <v>121</v>
      </c>
      <c r="C22" s="14"/>
      <c r="D22" s="7"/>
      <c r="E22" s="9"/>
      <c r="F22" s="7"/>
    </row>
    <row r="23" ht="26" customHeight="1" spans="1:6">
      <c r="A23" s="8">
        <v>7</v>
      </c>
      <c r="B23" s="16" t="s">
        <v>125</v>
      </c>
      <c r="C23" s="17"/>
      <c r="D23" s="17"/>
      <c r="E23" s="9"/>
      <c r="F23" s="7" t="s">
        <v>126</v>
      </c>
    </row>
    <row r="24" customFormat="1" ht="42" customHeight="1" spans="1:6">
      <c r="A24" s="18" t="s">
        <v>127</v>
      </c>
      <c r="B24" s="19"/>
      <c r="C24" s="19"/>
      <c r="D24" s="19"/>
      <c r="E24" s="19"/>
      <c r="F24" s="20"/>
    </row>
    <row r="25" customFormat="1" ht="42" customHeight="1" spans="1:6">
      <c r="A25" s="21" t="s">
        <v>1</v>
      </c>
      <c r="B25" s="21" t="s">
        <v>128</v>
      </c>
      <c r="C25" s="21" t="s">
        <v>129</v>
      </c>
      <c r="D25" s="22" t="s">
        <v>130</v>
      </c>
      <c r="E25" s="23"/>
      <c r="F25" s="21" t="s">
        <v>5</v>
      </c>
    </row>
    <row r="26" customFormat="1" ht="36" customHeight="1" spans="1:6">
      <c r="A26" s="8">
        <v>1</v>
      </c>
      <c r="B26" s="7" t="s">
        <v>131</v>
      </c>
      <c r="C26" s="7" t="s">
        <v>132</v>
      </c>
      <c r="D26" s="24"/>
      <c r="E26" s="25"/>
      <c r="F26" s="7"/>
    </row>
    <row r="27" customFormat="1" ht="38" customHeight="1" spans="1:6">
      <c r="A27" s="8">
        <v>2</v>
      </c>
      <c r="B27" s="7" t="s">
        <v>133</v>
      </c>
      <c r="C27" s="7" t="s">
        <v>132</v>
      </c>
      <c r="D27" s="24"/>
      <c r="E27" s="25"/>
      <c r="F27" s="7"/>
    </row>
    <row r="28" s="3" customFormat="1" ht="43" customHeight="1" spans="1:6">
      <c r="A28" s="26"/>
      <c r="B28" s="27" t="s">
        <v>40</v>
      </c>
      <c r="C28" s="7" t="s">
        <v>132</v>
      </c>
      <c r="D28" s="28"/>
      <c r="E28" s="29"/>
      <c r="F28" s="26" t="s">
        <v>134</v>
      </c>
    </row>
  </sheetData>
  <mergeCells count="13">
    <mergeCell ref="A1:F1"/>
    <mergeCell ref="B12:D12"/>
    <mergeCell ref="B13:D13"/>
    <mergeCell ref="B14:D14"/>
    <mergeCell ref="A15:F15"/>
    <mergeCell ref="B23:D23"/>
    <mergeCell ref="A24:F24"/>
    <mergeCell ref="D25:E25"/>
    <mergeCell ref="D26:E26"/>
    <mergeCell ref="D27:E27"/>
    <mergeCell ref="D28:E28"/>
    <mergeCell ref="F3:F8"/>
    <mergeCell ref="F17:F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预估</vt:lpstr>
      <vt:lpstr>预估 (2)</vt:lpstr>
      <vt:lpstr>附表1</vt:lpstr>
      <vt:lpstr>深价规 2009 1号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刘敏杰</cp:lastModifiedBy>
  <dcterms:created xsi:type="dcterms:W3CDTF">2006-09-16T00:00:00Z</dcterms:created>
  <dcterms:modified xsi:type="dcterms:W3CDTF">2021-08-02T02:09:33Z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48CE92BA49604FF8A7D99837970A1277</vt:lpwstr>
  </property>
</Properties>
</file>